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<sst xmlns="http://schemas.openxmlformats.org/spreadsheetml/2006/main" count="2441" uniqueCount="311">
  <si>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</si>
  <si>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</si>
  <si>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</si>
  <si>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</si>
  <si>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</si>
  <si>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</si>
  <si>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</si>
  <si>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</si>
  <si>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</si>
  <si>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</si>
  <si>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</si>
  <si>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</si>
  <si>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</si>
  <si>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</si>
  <si>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</si>
  <si>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</si>
  <si>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</si>
  <si>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</si>
  <si>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</si>
  <si>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</si>
  <si>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</si>
  <si>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</si>
  <si>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</si>
  <si>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</si>
  <si>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</si>
  <si>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</si>
  <si>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</si>
  <si>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</si>
  <si>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</si>
  <si>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</si>
  <si>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</si>
  <si>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</si>
  <si>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</si>
  <si>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</si>
  <si>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</si>
  <si>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</si>
  <si>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</si>
  <si>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</si>
  <si>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</si>
  <si>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</si>
  <si>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</si>
  <si>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</si>
  <si>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</si>
  <si>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</si>
  <si>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</si>
  <si>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</si>
  <si>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</si>
  <si>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</si>
  <si>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</si>
  <si>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</si>
  <si>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</si>
  <si>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</si>
  <si>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</si>
  <si>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</si>
  <si>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</si>
  <si>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</si>
  <si>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</si>
  <si>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</si>
  <si>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</si>
  <si>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</si>
  <si>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</si>
  <si>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</si>
  <si>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</si>
  <si>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</si>
  <si>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</si>
  <si>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</si>
  <si>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</si>
  <si>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</si>
  <si>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</si>
  <si>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</si>
  <si>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</si>
  <si>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</si>
  <si>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</si>
  <si>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</si>
  <si>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</si>
  <si>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</si>
  <si>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</si>
  <si>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</si>
  <si>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</si>
  <si>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</si>
  <si>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</si>
  <si>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</si>
  <si>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</si>
  <si>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</si>
  <si>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</si>
  <si>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</si>
  <si>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</si>
  <si>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</si>
  <si>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</si>
  <si>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</si>
  <si>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</si>
  <si>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</si>
  <si>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</si>
  <si>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</si>
  <si>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</si>
  <si>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</si>
  <si>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</si>
  <si>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</si>
  <si>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</si>
  <si>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</si>
  <si>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</si>
  <si>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</si>
  <si>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</si>
  <si>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</si>
  <si>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</si>
  <si>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</si>
  <si>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</si>
  <si>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</si>
  <si>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</si>
  <si>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</si>
  <si>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</si>
  <si>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</si>
  <si>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</si>
  <si>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</si>
  <si>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</si>
  <si>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</si>
  <si>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</si>
  <si>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</si>
  <si>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</si>
  <si>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</si>
  <si>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</si>
  <si>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</si>
  <si>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</si>
  <si>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</si>
  <si>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</si>
  <si>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</si>
  <si>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</si>
  <si>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</si>
  <si>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</si>
  <si>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</si>
  <si>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</si>
  <si>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</si>
  <si>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</si>
  <si>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</si>
  <si>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</si>
  <si>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</si>
  <si>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</si>
  <si>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</si>
  <si>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</si>
  <si>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</si>
  <si>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</si>
  <si>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</si>
  <si>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</si>
  <si>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</si>
  <si>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</si>
  <si>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</si>
  <si>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</si>
  <si>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</si>
  <si>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</si>
  <si>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</si>
  <si>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</si>
  <si>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</si>
  <si>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</si>
  <si>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</si>
  <si>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</si>
  <si>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</si>
  <si>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</si>
  <si>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</si>
  <si>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</si>
  <si>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</si>
  <si>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</si>
  <si>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</si>
  <si>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</si>
  <si>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</si>
  <si>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</si>
  <si>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</si>
  <si>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</si>
  <si>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</si>
  <si>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</si>
  <si>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</si>
  <si>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</si>
  <si>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</si>
  <si>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</si>
  <si>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</si>
  <si>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</si>
  <si>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</si>
  <si>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</si>
  <si>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</si>
  <si>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</si>
  <si>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</si>
  <si>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</si>
  <si>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</si>
  <si>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</si>
  <si>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</si>
  <si>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</si>
  <si>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</si>
  <si>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</si>
  <si>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</si>
  <si>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</si>
  <si>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</si>
  <si>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</si>
  <si>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</si>
  <si>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</si>
  <si>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</si>
  <si>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</si>
  <si>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</si>
  <si>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</si>
  <si>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</si>
  <si>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</si>
  <si>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</si>
  <si>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</si>
  <si>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</si>
  <si>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</si>
  <si>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</si>
  <si>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</si>
  <si>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</si>
  <si>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</si>
  <si>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</si>
  <si>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</si>
  <si>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</si>
  <si>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</si>
  <si>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</si>
  <si>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</si>
  <si>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</si>
  <si>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</si>
  <si>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</si>
  <si>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</si>
  <si>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</si>
  <si>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</si>
  <si>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</si>
  <si>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</si>
  <si>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</si>
  <si>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</si>
  <si>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</si>
  <si>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</si>
  <si>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</si>
  <si>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</si>
  <si>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</si>
  <si>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</si>
  <si>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</si>
  <si>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</si>
  <si>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</si>
  <si>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</si>
  <si>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</si>
  <si>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</si>
  <si>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</si>
  <si>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</si>
  <si>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</si>
  <si>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</si>
  <si>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</si>
  <si>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</si>
  <si>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</si>
  <si>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</si>
  <si>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</si>
  <si>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</si>
  <si>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</si>
  <si>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</si>
  <si>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</si>
  <si>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</si>
  <si>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</si>
  <si>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</si>
  <si>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</si>
  <si>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</si>
  <si>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</si>
  <si>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</si>
  <si>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</si>
  <si>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</si>
  <si>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</si>
  <si>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</si>
  <si>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</si>
  <si>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</si>
  <si>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</si>
  <si>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</si>
  <si>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</si>
  <si>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</si>
  <si>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</si>
  <si>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</si>
  <si>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</si>
  <si>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</si>
  <si>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</si>
  <si>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</si>
  <si>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</si>
  <si>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</si>
  <si>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</si>
  <si>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</si>
  <si>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</si>
  <si>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</si>
  <si>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</si>
  <si>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</si>
  <si>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</si>
  <si>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</si>
  <si>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</si>
  <si>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</si>
  <si>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</si>
  <si>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</si>
  <si>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</si>
  <si>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</si>
  <si>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</si>
  <si>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</si>
  <si>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</si>
  <si>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</si>
  <si>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</si>
  <si>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</si>
  <si>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</si>
  <si>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</si>
  <si>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</si>
  <si>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</si>
  <si>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</si>
  <si>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</si>
  <si>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</si>
  <si>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</si>
  <si>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</si>
  <si>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</si>
  <si>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</si>
  <si>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</si>
  <si>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</si>
  <si>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</si>
  <si>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</si>
  <si>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</si>
  <si>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</si>
  <si>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02.12.14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</si>
</sst>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10356635.339999998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53" sqref="F15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309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303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300</v>
      </c>
      <c r="H4" s="206" t="s">
        <v>302</v>
      </c>
      <c r="I4" s="202" t="s">
        <v>188</v>
      </c>
      <c r="J4" s="208" t="s">
        <v>189</v>
      </c>
      <c r="K4" s="195" t="s">
        <v>306</v>
      </c>
      <c r="L4" s="196"/>
      <c r="M4" s="216"/>
      <c r="N4" s="200" t="s">
        <v>310</v>
      </c>
      <c r="O4" s="202" t="s">
        <v>136</v>
      </c>
      <c r="P4" s="202" t="s">
        <v>135</v>
      </c>
      <c r="Q4" s="195" t="s">
        <v>305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299</v>
      </c>
      <c r="F5" s="219"/>
      <c r="G5" s="205"/>
      <c r="H5" s="207"/>
      <c r="I5" s="203"/>
      <c r="J5" s="209"/>
      <c r="K5" s="197"/>
      <c r="L5" s="198"/>
      <c r="M5" s="151" t="s">
        <v>304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429595.22000000003</v>
      </c>
      <c r="G8" s="22">
        <f aca="true" t="shared" si="0" ref="G8:G30">F8-E8</f>
        <v>-58881.07999999996</v>
      </c>
      <c r="H8" s="51">
        <f>F8/E8*100</f>
        <v>87.94596994777434</v>
      </c>
      <c r="I8" s="36">
        <f aca="true" t="shared" si="1" ref="I8:I17">F8-D8</f>
        <v>-58881.07999999996</v>
      </c>
      <c r="J8" s="36">
        <f aca="true" t="shared" si="2" ref="J8:J14">F8/D8*100</f>
        <v>87.94596994777434</v>
      </c>
      <c r="K8" s="36">
        <f>F8-466721.4</f>
        <v>-37126.17999999999</v>
      </c>
      <c r="L8" s="136">
        <f>F8/466721.4</f>
        <v>0.9204532296997738</v>
      </c>
      <c r="M8" s="22">
        <f>M10+M19+M33+M56+M68+M30</f>
        <v>57218.27000000002</v>
      </c>
      <c r="N8" s="22">
        <f>N10+N19+N33+N56+N68+N30</f>
        <v>880.1600000000024</v>
      </c>
      <c r="O8" s="36">
        <f aca="true" t="shared" si="3" ref="O8:O71">N8-M8</f>
        <v>-56338.110000000015</v>
      </c>
      <c r="P8" s="36">
        <f>F8/M8*100</f>
        <v>750.8007844347617</v>
      </c>
      <c r="Q8" s="36">
        <f>N8-45637.2</f>
        <v>-44757.03999999999</v>
      </c>
      <c r="R8" s="134">
        <f>N8/45637.2</f>
        <v>0.019286021053000674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349884.83</v>
      </c>
      <c r="G9" s="22">
        <f t="shared" si="0"/>
        <v>349884.83</v>
      </c>
      <c r="H9" s="20"/>
      <c r="I9" s="56">
        <f t="shared" si="1"/>
        <v>-37128.369999999995</v>
      </c>
      <c r="J9" s="56">
        <f t="shared" si="2"/>
        <v>90.40643316558712</v>
      </c>
      <c r="K9" s="56"/>
      <c r="L9" s="135"/>
      <c r="M9" s="20">
        <f>M10+M17</f>
        <v>35005.20000000001</v>
      </c>
      <c r="N9" s="20">
        <f>N10+N17</f>
        <v>687.4500000000116</v>
      </c>
      <c r="O9" s="36">
        <f t="shared" si="3"/>
        <v>-34317.75</v>
      </c>
      <c r="P9" s="56">
        <f>F9/M9*100</f>
        <v>999.522442379989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349884.83</v>
      </c>
      <c r="G10" s="49">
        <f t="shared" si="0"/>
        <v>-37128.369999999995</v>
      </c>
      <c r="H10" s="40">
        <f aca="true" t="shared" si="4" ref="H10:H17">F10/E10*100</f>
        <v>90.40643316558712</v>
      </c>
      <c r="I10" s="56">
        <f t="shared" si="1"/>
        <v>-37128.369999999995</v>
      </c>
      <c r="J10" s="56">
        <f t="shared" si="2"/>
        <v>90.40643316558712</v>
      </c>
      <c r="K10" s="141">
        <f>F10-372115.6</f>
        <v>-22230.76999999996</v>
      </c>
      <c r="L10" s="142">
        <f>F10/372115.6</f>
        <v>0.9402584304447329</v>
      </c>
      <c r="M10" s="40">
        <f>E10-листопад!E10</f>
        <v>35005.20000000001</v>
      </c>
      <c r="N10" s="40">
        <f>F10-листопад!F10</f>
        <v>687.4500000000116</v>
      </c>
      <c r="O10" s="53">
        <f t="shared" si="3"/>
        <v>-34317.75</v>
      </c>
      <c r="P10" s="56">
        <f aca="true" t="shared" si="5" ref="P10:P17">N10/M10*100</f>
        <v>1.9638510849816924</v>
      </c>
      <c r="Q10" s="141">
        <f>N10-37779.2</f>
        <v>-37091.749999999985</v>
      </c>
      <c r="R10" s="142">
        <f>N10/37779.2</f>
        <v>0.018196520836862923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-1341.39</v>
      </c>
      <c r="G19" s="49">
        <f t="shared" si="0"/>
        <v>-2341.3900000000003</v>
      </c>
      <c r="H19" s="40">
        <f aca="true" t="shared" si="7" ref="H19:H29">F19/E19*100</f>
        <v>-134.139</v>
      </c>
      <c r="I19" s="56">
        <f aca="true" t="shared" si="8" ref="I19:I29">F19-D19</f>
        <v>-2341.3900000000003</v>
      </c>
      <c r="J19" s="56">
        <f aca="true" t="shared" si="9" ref="J19:J29">F19/D19*100</f>
        <v>-134.139</v>
      </c>
      <c r="K19" s="167">
        <f>F19-7565.9</f>
        <v>-8907.289999999999</v>
      </c>
      <c r="L19" s="168">
        <f>F19/7565.9</f>
        <v>-0.1772941751807452</v>
      </c>
      <c r="M19" s="40">
        <f>E19-листопад!E19</f>
        <v>-79.59999999999991</v>
      </c>
      <c r="N19" s="40">
        <f>F19-листопад!F19</f>
        <v>11.169999999999845</v>
      </c>
      <c r="O19" s="53">
        <f t="shared" si="3"/>
        <v>90.76999999999975</v>
      </c>
      <c r="P19" s="56">
        <f aca="true" t="shared" si="10" ref="P19:P29">N19/M19*100</f>
        <v>-14.032663316582736</v>
      </c>
      <c r="Q19" s="56">
        <f>N19-358.9</f>
        <v>-347.73000000000013</v>
      </c>
      <c r="R19" s="135">
        <f>N19/358.9</f>
        <v>0.031122875452771932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 t="shared" si="6"/>
        <v>930</v>
      </c>
      <c r="F29" s="170">
        <v>-858.42</v>
      </c>
      <c r="G29" s="49">
        <f t="shared" si="0"/>
        <v>-1788.42</v>
      </c>
      <c r="H29" s="40">
        <f t="shared" si="7"/>
        <v>-92.30322580645161</v>
      </c>
      <c r="I29" s="56">
        <f t="shared" si="8"/>
        <v>-1788.42</v>
      </c>
      <c r="J29" s="56">
        <f t="shared" si="9"/>
        <v>-92.30322580645161</v>
      </c>
      <c r="K29" s="148">
        <f>F29-3938.93</f>
        <v>-4797.349999999999</v>
      </c>
      <c r="L29" s="149">
        <f>F29/3938.93</f>
        <v>-0.21793228110172053</v>
      </c>
      <c r="M29" s="40">
        <f>E29-листопад!E29</f>
        <v>110.39999999999998</v>
      </c>
      <c r="N29" s="40">
        <f>F29-листопад!F29</f>
        <v>11</v>
      </c>
      <c r="O29" s="148">
        <f t="shared" si="3"/>
        <v>-99.39999999999998</v>
      </c>
      <c r="P29" s="145">
        <f t="shared" si="10"/>
        <v>9.963768115942031</v>
      </c>
      <c r="Q29" s="148">
        <f>N29-358.92</f>
        <v>-347.92</v>
      </c>
      <c r="R29" s="149">
        <f>N29/358.92</f>
        <v>0.03064749804970467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75138.9</v>
      </c>
      <c r="G33" s="49">
        <f aca="true" t="shared" si="15" ref="G33:G72">F33-E33</f>
        <v>-18427.100000000006</v>
      </c>
      <c r="H33" s="40">
        <f aca="true" t="shared" si="16" ref="H33:H67">F33/E33*100</f>
        <v>80.30577346472009</v>
      </c>
      <c r="I33" s="56">
        <f>F33-D33</f>
        <v>-18427.100000000006</v>
      </c>
      <c r="J33" s="56">
        <f aca="true" t="shared" si="17" ref="J33:J72">F33/D33*100</f>
        <v>80.30577346472009</v>
      </c>
      <c r="K33" s="141">
        <f>F33-80761.4</f>
        <v>-5622.5</v>
      </c>
      <c r="L33" s="142">
        <f>F33/80721.4</f>
        <v>0.9308423788487316</v>
      </c>
      <c r="M33" s="40">
        <f>E33-листопад!E33</f>
        <v>21652.570000000007</v>
      </c>
      <c r="N33" s="40">
        <f>F33-листопад!F33</f>
        <v>141.1299999999901</v>
      </c>
      <c r="O33" s="53">
        <f t="shared" si="3"/>
        <v>-21511.440000000017</v>
      </c>
      <c r="P33" s="56">
        <f aca="true" t="shared" si="18" ref="P33:P67">N33/M33*100</f>
        <v>0.6517932975161381</v>
      </c>
      <c r="Q33" s="141">
        <f>N33-6915.7</f>
        <v>-6774.57000000001</v>
      </c>
      <c r="R33" s="142">
        <f>N33/6915.7</f>
        <v>0.02040718943852251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55871.37</v>
      </c>
      <c r="G55" s="144">
        <f t="shared" si="15"/>
        <v>-14394.629999999997</v>
      </c>
      <c r="H55" s="146">
        <f t="shared" si="16"/>
        <v>79.51408931773547</v>
      </c>
      <c r="I55" s="145">
        <f t="shared" si="19"/>
        <v>-14394.629999999997</v>
      </c>
      <c r="J55" s="145">
        <f t="shared" si="17"/>
        <v>79.51408931773547</v>
      </c>
      <c r="K55" s="148">
        <f>F55-59068.8</f>
        <v>-3197.4300000000003</v>
      </c>
      <c r="L55" s="149">
        <f>F55/59068.8</f>
        <v>0.9458693929790346</v>
      </c>
      <c r="M55" s="40">
        <f>E55-листопад!E55</f>
        <v>17417.47</v>
      </c>
      <c r="N55" s="40">
        <f>F55-листопад!F55</f>
        <v>121.22000000000116</v>
      </c>
      <c r="O55" s="148">
        <f t="shared" si="3"/>
        <v>-17296.25</v>
      </c>
      <c r="P55" s="148">
        <f t="shared" si="18"/>
        <v>0.6959678988969187</v>
      </c>
      <c r="Q55" s="160">
        <f>N55-5155.85</f>
        <v>-5034.629999999999</v>
      </c>
      <c r="R55" s="161">
        <f>N55/5155.85</f>
        <v>0.023511157229167093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1.51+5878.02</f>
        <v>5879.530000000001</v>
      </c>
      <c r="G56" s="49">
        <f t="shared" si="15"/>
        <v>-980.4699999999993</v>
      </c>
      <c r="H56" s="40">
        <f t="shared" si="16"/>
        <v>85.70743440233237</v>
      </c>
      <c r="I56" s="56">
        <f t="shared" si="19"/>
        <v>-980.4699999999993</v>
      </c>
      <c r="J56" s="56">
        <f t="shared" si="17"/>
        <v>85.70743440233237</v>
      </c>
      <c r="K56" s="56">
        <f>F56-6243.8</f>
        <v>-364.2699999999995</v>
      </c>
      <c r="L56" s="135">
        <f>F56/6243.8</f>
        <v>0.9416589256542491</v>
      </c>
      <c r="M56" s="40">
        <f>E56-листопад!E56</f>
        <v>640.1000000000004</v>
      </c>
      <c r="N56" s="40">
        <f>F56-листопад!F56</f>
        <v>40.410000000000764</v>
      </c>
      <c r="O56" s="53">
        <f t="shared" si="3"/>
        <v>-599.6899999999996</v>
      </c>
      <c r="P56" s="56">
        <f t="shared" si="18"/>
        <v>6.313076081862325</v>
      </c>
      <c r="Q56" s="56">
        <f>N56-583.3</f>
        <v>-542.8899999999992</v>
      </c>
      <c r="R56" s="135">
        <f>N56/583.3</f>
        <v>0.06927824447111396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11916.16</v>
      </c>
      <c r="G74" s="50">
        <f aca="true" t="shared" si="25" ref="G74:G92">F74-E74</f>
        <v>-6442.139999999999</v>
      </c>
      <c r="H74" s="51">
        <f aca="true" t="shared" si="26" ref="H74:H87">F74/E74*100</f>
        <v>64.90884232200149</v>
      </c>
      <c r="I74" s="36">
        <f aca="true" t="shared" si="27" ref="I74:I92">F74-D74</f>
        <v>-6442.139999999999</v>
      </c>
      <c r="J74" s="36">
        <f aca="true" t="shared" si="28" ref="J74:J92">F74/D74*100</f>
        <v>64.90884232200149</v>
      </c>
      <c r="K74" s="36">
        <f>F74-19611.3</f>
        <v>-7695.139999999999</v>
      </c>
      <c r="L74" s="136">
        <f>F74/19611.3</f>
        <v>0.6076170371163564</v>
      </c>
      <c r="M74" s="22">
        <f>M77+M86+M88+M89+M94+M95+M96+M97+M99+M87+M104</f>
        <v>3081.2999999999997</v>
      </c>
      <c r="N74" s="22">
        <f>N77+N86+N88+N89+N94+N95+N96+N97+N99+N32+N104+N87+N103</f>
        <v>11.759999999999962</v>
      </c>
      <c r="O74" s="55">
        <f aca="true" t="shared" si="29" ref="O74:O92">N74-M74</f>
        <v>-3069.54</v>
      </c>
      <c r="P74" s="36">
        <f>N74/M74*100</f>
        <v>0.38165709278551146</v>
      </c>
      <c r="Q74" s="36">
        <f>N74-1783.5</f>
        <v>-1771.74</v>
      </c>
      <c r="R74" s="136">
        <f>N74/1783.5</f>
        <v>0.006593776282590391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242.79</v>
      </c>
      <c r="G87" s="49">
        <f t="shared" si="25"/>
        <v>-257.21000000000004</v>
      </c>
      <c r="H87" s="40">
        <f t="shared" si="26"/>
        <v>48.558</v>
      </c>
      <c r="I87" s="56">
        <f t="shared" si="27"/>
        <v>-257.21000000000004</v>
      </c>
      <c r="J87" s="56">
        <f t="shared" si="28"/>
        <v>48.558</v>
      </c>
      <c r="K87" s="56">
        <f>F87-264.6</f>
        <v>-21.81000000000003</v>
      </c>
      <c r="L87" s="135">
        <f>F87/264.6</f>
        <v>0.9175736961451246</v>
      </c>
      <c r="M87" s="40">
        <f>E87-листопад!E87</f>
        <v>280</v>
      </c>
      <c r="N87" s="40">
        <f>F87-листопад!F87</f>
        <v>0</v>
      </c>
      <c r="O87" s="53">
        <f t="shared" si="29"/>
        <v>-280</v>
      </c>
      <c r="P87" s="56">
        <f t="shared" si="30"/>
        <v>0</v>
      </c>
      <c r="Q87" s="56">
        <f>N87-36.8</f>
        <v>-36.8</v>
      </c>
      <c r="R87" s="135">
        <f>N87/36.8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121.9</v>
      </c>
      <c r="G89" s="49">
        <f t="shared" si="25"/>
        <v>-53.099999999999994</v>
      </c>
      <c r="H89" s="40">
        <f>F89/E89*100</f>
        <v>69.65714285714286</v>
      </c>
      <c r="I89" s="56">
        <f t="shared" si="27"/>
        <v>-53.099999999999994</v>
      </c>
      <c r="J89" s="56">
        <f t="shared" si="28"/>
        <v>69.65714285714286</v>
      </c>
      <c r="K89" s="56">
        <f>F89-166.8</f>
        <v>-44.900000000000006</v>
      </c>
      <c r="L89" s="135">
        <f>F89/166.8</f>
        <v>0.7308153477218226</v>
      </c>
      <c r="M89" s="40">
        <f>E89-листопад!E89</f>
        <v>16</v>
      </c>
      <c r="N89" s="40">
        <f>F89-листопад!F89</f>
        <v>0.3400000000000034</v>
      </c>
      <c r="O89" s="53">
        <f t="shared" si="29"/>
        <v>-15.659999999999997</v>
      </c>
      <c r="P89" s="56">
        <f>N89/M89*100</f>
        <v>2.1250000000000213</v>
      </c>
      <c r="Q89" s="56">
        <f>N89-18.9</f>
        <v>-18.559999999999995</v>
      </c>
      <c r="R89" s="135">
        <f>N89/18.9</f>
        <v>0.01798941798941817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6573.91</v>
      </c>
      <c r="G95" s="49">
        <f t="shared" si="33"/>
        <v>-426.09000000000015</v>
      </c>
      <c r="H95" s="40">
        <f>F95/E95*100</f>
        <v>93.913</v>
      </c>
      <c r="I95" s="56">
        <f t="shared" si="34"/>
        <v>-426.09000000000015</v>
      </c>
      <c r="J95" s="56">
        <f>F95/D95*100</f>
        <v>93.913</v>
      </c>
      <c r="K95" s="56">
        <f>F95-7293.9</f>
        <v>-719.9899999999998</v>
      </c>
      <c r="L95" s="135">
        <f>F95/7293.9</f>
        <v>0.9012887481320008</v>
      </c>
      <c r="M95" s="40">
        <f>E95-листопад!E95</f>
        <v>593.5</v>
      </c>
      <c r="N95" s="40">
        <f>F95-листопад!F95</f>
        <v>0</v>
      </c>
      <c r="O95" s="53">
        <f t="shared" si="35"/>
        <v>-593.5</v>
      </c>
      <c r="P95" s="56">
        <f>N95/M95*100</f>
        <v>0</v>
      </c>
      <c r="Q95" s="56">
        <f>N95-532.9</f>
        <v>-532.9</v>
      </c>
      <c r="R95" s="135">
        <f>N95/532.9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982.15</v>
      </c>
      <c r="G96" s="49">
        <f t="shared" si="33"/>
        <v>-217.85000000000002</v>
      </c>
      <c r="H96" s="40">
        <f>F96/E96*100</f>
        <v>81.84583333333333</v>
      </c>
      <c r="I96" s="56">
        <f t="shared" si="34"/>
        <v>-217.85000000000002</v>
      </c>
      <c r="J96" s="56">
        <f>F96/D96*100</f>
        <v>81.84583333333333</v>
      </c>
      <c r="K96" s="56">
        <f>F96-1134.1</f>
        <v>-151.94999999999993</v>
      </c>
      <c r="L96" s="135">
        <f>F96/1134.1</f>
        <v>0.866017106075302</v>
      </c>
      <c r="M96" s="40">
        <f>E96-листопад!E96</f>
        <v>185.5</v>
      </c>
      <c r="N96" s="40">
        <f>F96-листопад!F96</f>
        <v>6.709999999999923</v>
      </c>
      <c r="O96" s="53">
        <f t="shared" si="35"/>
        <v>-178.79000000000008</v>
      </c>
      <c r="P96" s="56">
        <f>N96/M96*100</f>
        <v>3.617250673854406</v>
      </c>
      <c r="Q96" s="56">
        <f>N96-120.3</f>
        <v>-113.59000000000007</v>
      </c>
      <c r="R96" s="135">
        <f>N96/120.3</f>
        <v>0.055777223607646906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3817.4</v>
      </c>
      <c r="G99" s="49">
        <f t="shared" si="33"/>
        <v>-755.2999999999997</v>
      </c>
      <c r="H99" s="40">
        <f>F99/E99*100</f>
        <v>83.48240645570452</v>
      </c>
      <c r="I99" s="56">
        <f t="shared" si="34"/>
        <v>-755.2999999999997</v>
      </c>
      <c r="J99" s="56">
        <f>F99/D99*100</f>
        <v>83.48240645570452</v>
      </c>
      <c r="K99" s="56">
        <f>F99-4500.7</f>
        <v>-683.2999999999997</v>
      </c>
      <c r="L99" s="135">
        <f>F99/4500.7</f>
        <v>0.84817917212878</v>
      </c>
      <c r="M99" s="40">
        <f>E99-листопад!E99</f>
        <v>905.6999999999998</v>
      </c>
      <c r="N99" s="40">
        <f>F99-листопад!F99</f>
        <v>4.710000000000036</v>
      </c>
      <c r="O99" s="53">
        <f t="shared" si="35"/>
        <v>-900.9899999999998</v>
      </c>
      <c r="P99" s="56">
        <f>N99/M99*100</f>
        <v>0.5200397482610177</v>
      </c>
      <c r="Q99" s="56">
        <f>N99-321.9</f>
        <v>-317.18999999999994</v>
      </c>
      <c r="R99" s="135">
        <f>N99/321.9</f>
        <v>0.014631873252563021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929.6</v>
      </c>
      <c r="G102" s="144"/>
      <c r="H102" s="146"/>
      <c r="I102" s="145"/>
      <c r="J102" s="145"/>
      <c r="K102" s="148">
        <f>F102-816.5</f>
        <v>113.10000000000002</v>
      </c>
      <c r="L102" s="149">
        <f>F102/816.5</f>
        <v>1.1385180649112063</v>
      </c>
      <c r="M102" s="40">
        <f>E102-листопад!E102</f>
        <v>0</v>
      </c>
      <c r="N102" s="40">
        <f>F102-листопад!F102</f>
        <v>2.7000000000000455</v>
      </c>
      <c r="O102" s="53"/>
      <c r="P102" s="60"/>
      <c r="Q102" s="60">
        <f>N102-78.3</f>
        <v>-75.59999999999995</v>
      </c>
      <c r="R102" s="138">
        <f>N102/78.3</f>
        <v>0.03448275862069024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441535.6</v>
      </c>
      <c r="G107" s="175">
        <f>F107-E107</f>
        <v>-65344</v>
      </c>
      <c r="H107" s="51">
        <f>F107/E107*100</f>
        <v>87.10857568542905</v>
      </c>
      <c r="I107" s="36">
        <f t="shared" si="36"/>
        <v>-65344</v>
      </c>
      <c r="J107" s="36">
        <f t="shared" si="38"/>
        <v>87.10857568542905</v>
      </c>
      <c r="K107" s="36">
        <f>F107-486380.4</f>
        <v>-44844.80000000005</v>
      </c>
      <c r="L107" s="136">
        <f>F107/486380.4</f>
        <v>0.9077989162392234</v>
      </c>
      <c r="M107" s="22">
        <f>M8+M74+M105+M106</f>
        <v>60314.370000000024</v>
      </c>
      <c r="N107" s="152">
        <f>N8+N74+N105+N106</f>
        <v>891.9200000000023</v>
      </c>
      <c r="O107" s="55">
        <f t="shared" si="37"/>
        <v>-59422.45000000002</v>
      </c>
      <c r="P107" s="36">
        <f>N107/M107*100</f>
        <v>1.4787852380784248</v>
      </c>
      <c r="Q107" s="36">
        <f>N107-47430.3</f>
        <v>-46538.38</v>
      </c>
      <c r="R107" s="136">
        <f>N107/47430.2</f>
        <v>0.018804896458374673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350866.98000000004</v>
      </c>
      <c r="G108" s="153">
        <f>G10-G18+G96</f>
        <v>-37346.219999999994</v>
      </c>
      <c r="H108" s="72">
        <f>F108/E108*100</f>
        <v>90.3799716238397</v>
      </c>
      <c r="I108" s="52">
        <f t="shared" si="36"/>
        <v>-37346.21999999997</v>
      </c>
      <c r="J108" s="52">
        <f t="shared" si="38"/>
        <v>90.3799716238397</v>
      </c>
      <c r="K108" s="52">
        <f>F108-373338.7</f>
        <v>-22471.719999999972</v>
      </c>
      <c r="L108" s="137">
        <f>F108/373338.7</f>
        <v>0.9398087581062452</v>
      </c>
      <c r="M108" s="71">
        <f>M10-M18+M96</f>
        <v>35190.70000000001</v>
      </c>
      <c r="N108" s="153">
        <f>N10-N18+N96</f>
        <v>694.1600000000116</v>
      </c>
      <c r="O108" s="53">
        <f t="shared" si="37"/>
        <v>-34496.54</v>
      </c>
      <c r="P108" s="52">
        <f>N108/M108*100</f>
        <v>1.9725666156115433</v>
      </c>
      <c r="Q108" s="52">
        <f>N108-37899.5</f>
        <v>-37205.33999999999</v>
      </c>
      <c r="R108" s="137">
        <f>N108/37899.5</f>
        <v>0.018315808915685208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90668.61999999994</v>
      </c>
      <c r="G109" s="176">
        <f>F109-E109</f>
        <v>-27997.780000000028</v>
      </c>
      <c r="H109" s="72">
        <f>F109/E109*100</f>
        <v>76.40631214901603</v>
      </c>
      <c r="I109" s="52">
        <f t="shared" si="36"/>
        <v>-27997.780000000028</v>
      </c>
      <c r="J109" s="52">
        <f t="shared" si="38"/>
        <v>76.40631214901603</v>
      </c>
      <c r="K109" s="52">
        <f>F109-113041.7</f>
        <v>-22373.08000000006</v>
      </c>
      <c r="L109" s="137">
        <f>F109/113041.7</f>
        <v>0.8020811788923905</v>
      </c>
      <c r="M109" s="71">
        <f>M107-M108</f>
        <v>25123.670000000013</v>
      </c>
      <c r="N109" s="153">
        <f>N107-N108</f>
        <v>197.75999999999078</v>
      </c>
      <c r="O109" s="53">
        <f t="shared" si="37"/>
        <v>-24925.91000000002</v>
      </c>
      <c r="P109" s="52">
        <f>N109/M109*100</f>
        <v>0.7871461454476623</v>
      </c>
      <c r="Q109" s="52">
        <f>N109-9530.7</f>
        <v>-9332.94000000001</v>
      </c>
      <c r="R109" s="137">
        <f>N109/9530.7</f>
        <v>0.020749787528722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350866.98000000004</v>
      </c>
      <c r="G110" s="111">
        <f>F110-E110</f>
        <v>-37346.21999999997</v>
      </c>
      <c r="H110" s="72">
        <f>F110/E110*100</f>
        <v>90.3799716238397</v>
      </c>
      <c r="I110" s="81">
        <f t="shared" si="36"/>
        <v>-37346.21999999997</v>
      </c>
      <c r="J110" s="52">
        <f t="shared" si="38"/>
        <v>90.3799716238397</v>
      </c>
      <c r="K110" s="52"/>
      <c r="L110" s="137"/>
      <c r="M110" s="72">
        <f>E110-листопад!E110</f>
        <v>39530.600000000035</v>
      </c>
      <c r="N110" s="71">
        <f>N108</f>
        <v>694.1600000000116</v>
      </c>
      <c r="O110" s="63">
        <f t="shared" si="37"/>
        <v>-38836.440000000024</v>
      </c>
      <c r="P110" s="52">
        <f>N110/M110*100</f>
        <v>1.7560067390831686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1501.1</v>
      </c>
      <c r="G115" s="49">
        <f t="shared" si="39"/>
        <v>-2170.4</v>
      </c>
      <c r="H115" s="40">
        <f aca="true" t="shared" si="41" ref="H115:H126">F115/E115*100</f>
        <v>40.88519678605474</v>
      </c>
      <c r="I115" s="60">
        <f t="shared" si="40"/>
        <v>-2170.4</v>
      </c>
      <c r="J115" s="60">
        <f aca="true" t="shared" si="42" ref="J115:J121">F115/D115*100</f>
        <v>40.88519678605474</v>
      </c>
      <c r="K115" s="60">
        <f>F115-3298.2</f>
        <v>-1797.1</v>
      </c>
      <c r="L115" s="138">
        <f>F115/3298.2</f>
        <v>0.45512703899096474</v>
      </c>
      <c r="M115" s="40">
        <f>E115-листопад!E115</f>
        <v>337.0999999999999</v>
      </c>
      <c r="N115" s="40">
        <f>F115-листопад!F115</f>
        <v>16.289999999999964</v>
      </c>
      <c r="O115" s="53">
        <f aca="true" t="shared" si="43" ref="O115:O126">N115-M115</f>
        <v>-320.80999999999995</v>
      </c>
      <c r="P115" s="60">
        <f>N115/M115*100</f>
        <v>4.83239394838326</v>
      </c>
      <c r="Q115" s="60">
        <f>N115-86.8</f>
        <v>-70.51000000000003</v>
      </c>
      <c r="R115" s="138">
        <f>N115/86.8</f>
        <v>0.1876728110599074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284.81</v>
      </c>
      <c r="G116" s="49">
        <f t="shared" si="39"/>
        <v>16.70999999999998</v>
      </c>
      <c r="H116" s="40">
        <f t="shared" si="41"/>
        <v>106.23274897426333</v>
      </c>
      <c r="I116" s="60">
        <f t="shared" si="40"/>
        <v>16.70999999999998</v>
      </c>
      <c r="J116" s="60">
        <f t="shared" si="42"/>
        <v>106.23274897426333</v>
      </c>
      <c r="K116" s="60">
        <f>F116-246.9</f>
        <v>37.91</v>
      </c>
      <c r="L116" s="138">
        <f>F116/246.9</f>
        <v>1.1535439449169704</v>
      </c>
      <c r="M116" s="40">
        <f>E116-листопад!E116</f>
        <v>23.600000000000023</v>
      </c>
      <c r="N116" s="40">
        <f>F116-листопад!F116</f>
        <v>0</v>
      </c>
      <c r="O116" s="53">
        <f t="shared" si="43"/>
        <v>-23.600000000000023</v>
      </c>
      <c r="P116" s="60">
        <f>N116/M116*100</f>
        <v>0</v>
      </c>
      <c r="Q116" s="60">
        <f>N116-31.3</f>
        <v>-31.3</v>
      </c>
      <c r="R116" s="138">
        <f>N116/31.3</f>
        <v>0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1786.4599999999998</v>
      </c>
      <c r="G117" s="62">
        <f t="shared" si="39"/>
        <v>-2153.1400000000003</v>
      </c>
      <c r="H117" s="72">
        <f t="shared" si="41"/>
        <v>45.34622804345618</v>
      </c>
      <c r="I117" s="61">
        <f t="shared" si="40"/>
        <v>-2153.1400000000003</v>
      </c>
      <c r="J117" s="61">
        <f t="shared" si="42"/>
        <v>45.34622804345618</v>
      </c>
      <c r="K117" s="61">
        <f>F117-3599.2</f>
        <v>-1812.74</v>
      </c>
      <c r="L117" s="139">
        <f>F117/3599.2</f>
        <v>0.4963491887086019</v>
      </c>
      <c r="M117" s="62">
        <f>M115+M116+M114</f>
        <v>360.69999999999993</v>
      </c>
      <c r="N117" s="38">
        <f>SUM(N114:N116)</f>
        <v>16.289999999999964</v>
      </c>
      <c r="O117" s="61">
        <f t="shared" si="43"/>
        <v>-344.40999999999997</v>
      </c>
      <c r="P117" s="61">
        <f>N117/M117*100</f>
        <v>4.516218464097578</v>
      </c>
      <c r="Q117" s="61">
        <f>N117-121.6</f>
        <v>-105.31000000000003</v>
      </c>
      <c r="R117" s="139">
        <f>N117/121.6</f>
        <v>0.1339638157894734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f>D119</f>
        <v>267.2</v>
      </c>
      <c r="F119" s="174">
        <v>455.12</v>
      </c>
      <c r="G119" s="49">
        <f t="shared" si="39"/>
        <v>187.92000000000002</v>
      </c>
      <c r="H119" s="40">
        <f t="shared" si="41"/>
        <v>170.32934131736528</v>
      </c>
      <c r="I119" s="60">
        <f t="shared" si="40"/>
        <v>187.92000000000002</v>
      </c>
      <c r="J119" s="60">
        <f t="shared" si="42"/>
        <v>170.32934131736528</v>
      </c>
      <c r="K119" s="60">
        <f>F119-240.3</f>
        <v>214.82</v>
      </c>
      <c r="L119" s="138">
        <f>F119/240.3</f>
        <v>1.8939658759883478</v>
      </c>
      <c r="M119" s="40">
        <f>E119-листопад!E119</f>
        <v>6.699999999999989</v>
      </c>
      <c r="N119" s="40">
        <f>F119-листопад!F119</f>
        <v>0.44999999999998863</v>
      </c>
      <c r="O119" s="53">
        <f>N119-M119</f>
        <v>-6.25</v>
      </c>
      <c r="P119" s="60">
        <f>N119/M119*100</f>
        <v>6.716417910447603</v>
      </c>
      <c r="Q119" s="60">
        <f>N119-2.6</f>
        <v>-2.1500000000000115</v>
      </c>
      <c r="R119" s="138">
        <f>N119/2.6</f>
        <v>0.1730769230769187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f>D120</f>
        <v>71975.99</v>
      </c>
      <c r="F120" s="174">
        <v>79597.83</v>
      </c>
      <c r="G120" s="49">
        <f t="shared" si="39"/>
        <v>7621.8399999999965</v>
      </c>
      <c r="H120" s="40">
        <f t="shared" si="41"/>
        <v>110.5894201663638</v>
      </c>
      <c r="I120" s="53">
        <f t="shared" si="40"/>
        <v>7621.8399999999965</v>
      </c>
      <c r="J120" s="60">
        <f t="shared" si="42"/>
        <v>110.5894201663638</v>
      </c>
      <c r="K120" s="60">
        <f>F120-69925</f>
        <v>9672.830000000002</v>
      </c>
      <c r="L120" s="138">
        <f>F120/69925</f>
        <v>1.1383314980336074</v>
      </c>
      <c r="M120" s="40">
        <f>E120-листопад!E120</f>
        <v>3263.3899999999994</v>
      </c>
      <c r="N120" s="40">
        <f>F120-листопад!F120</f>
        <v>280.02999999999884</v>
      </c>
      <c r="O120" s="53">
        <f t="shared" si="43"/>
        <v>-2983.3600000000006</v>
      </c>
      <c r="P120" s="60">
        <f aca="true" t="shared" si="44" ref="P120:P125">N120/M120*100</f>
        <v>8.580954161163664</v>
      </c>
      <c r="Q120" s="60">
        <f>N120-3130.1</f>
        <v>-2850.070000000001</v>
      </c>
      <c r="R120" s="138">
        <f>N120/3130.1</f>
        <v>0.08946359541228678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f>D121</f>
        <v>4750</v>
      </c>
      <c r="F121" s="174">
        <v>1921.61</v>
      </c>
      <c r="G121" s="49">
        <f t="shared" si="39"/>
        <v>-2828.3900000000003</v>
      </c>
      <c r="H121" s="40">
        <f t="shared" si="41"/>
        <v>40.45494736842105</v>
      </c>
      <c r="I121" s="60">
        <f t="shared" si="40"/>
        <v>-2828.3900000000003</v>
      </c>
      <c r="J121" s="60">
        <f t="shared" si="42"/>
        <v>40.45494736842105</v>
      </c>
      <c r="K121" s="60">
        <f>F121-1790.1</f>
        <v>131.51</v>
      </c>
      <c r="L121" s="138">
        <f>F121/1790.1</f>
        <v>1.0734651695436008</v>
      </c>
      <c r="M121" s="40">
        <f>E121-листопад!E121</f>
        <v>1388.81</v>
      </c>
      <c r="N121" s="40">
        <f>F121-листопад!F121</f>
        <v>0</v>
      </c>
      <c r="O121" s="53">
        <f t="shared" si="43"/>
        <v>-1388.81</v>
      </c>
      <c r="P121" s="60">
        <f t="shared" si="44"/>
        <v>0</v>
      </c>
      <c r="Q121" s="60">
        <f>N121-0.1</f>
        <v>-0.1</v>
      </c>
      <c r="R121" s="138">
        <f>N121/0.1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D122</f>
        <v>23077.13</v>
      </c>
      <c r="F122" s="174">
        <v>3828.89</v>
      </c>
      <c r="G122" s="49">
        <f t="shared" si="39"/>
        <v>-19248.24</v>
      </c>
      <c r="H122" s="40">
        <f t="shared" si="41"/>
        <v>16.591707894352545</v>
      </c>
      <c r="I122" s="60">
        <f t="shared" si="40"/>
        <v>-19248.24</v>
      </c>
      <c r="J122" s="60">
        <f>F122/D122*100</f>
        <v>16.591707894352545</v>
      </c>
      <c r="K122" s="60">
        <f>F122-29972.9</f>
        <v>-26144.010000000002</v>
      </c>
      <c r="L122" s="138">
        <f>F122/29972.9</f>
        <v>0.12774506304027972</v>
      </c>
      <c r="M122" s="40">
        <f>E122-листопад!E122</f>
        <v>2767.4000000000015</v>
      </c>
      <c r="N122" s="40">
        <f>F122-листопад!F122</f>
        <v>0</v>
      </c>
      <c r="O122" s="53">
        <f t="shared" si="43"/>
        <v>-2767.4000000000015</v>
      </c>
      <c r="P122" s="60">
        <f t="shared" si="44"/>
        <v>0</v>
      </c>
      <c r="Q122" s="60">
        <f>N122-6480.9</f>
        <v>-6480.9</v>
      </c>
      <c r="R122" s="138">
        <f>N122/6480.9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2012.55</v>
      </c>
      <c r="G123" s="49">
        <f t="shared" si="39"/>
        <v>12.549999999999955</v>
      </c>
      <c r="H123" s="40">
        <f t="shared" si="41"/>
        <v>100.6275</v>
      </c>
      <c r="I123" s="60">
        <f t="shared" si="40"/>
        <v>12.549999999999955</v>
      </c>
      <c r="J123" s="60">
        <f>F123/D123*100</f>
        <v>100.6275</v>
      </c>
      <c r="K123" s="60">
        <f>F123-2200.3</f>
        <v>-187.75000000000023</v>
      </c>
      <c r="L123" s="138">
        <f>F123/2200.3</f>
        <v>0.9146707267190837</v>
      </c>
      <c r="M123" s="40">
        <f>E123-листопад!E123</f>
        <v>189.5999999999999</v>
      </c>
      <c r="N123" s="40">
        <f>F123-листопад!F123</f>
        <v>0</v>
      </c>
      <c r="O123" s="53">
        <f t="shared" si="43"/>
        <v>-189.5999999999999</v>
      </c>
      <c r="P123" s="60">
        <f t="shared" si="44"/>
        <v>0</v>
      </c>
      <c r="Q123" s="60">
        <f>N123-468.3</f>
        <v>-468.3</v>
      </c>
      <c r="R123" s="138">
        <f>N123/468.3</f>
        <v>0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102070.32</v>
      </c>
      <c r="F124" s="173">
        <f>F120+F121+F122+F123+F119</f>
        <v>87816</v>
      </c>
      <c r="G124" s="62">
        <f t="shared" si="39"/>
        <v>-14254.320000000007</v>
      </c>
      <c r="H124" s="72">
        <f t="shared" si="41"/>
        <v>86.03480424084101</v>
      </c>
      <c r="I124" s="61">
        <f t="shared" si="40"/>
        <v>-14254.320000000007</v>
      </c>
      <c r="J124" s="61">
        <f>F124/D124*100</f>
        <v>86.03480424084101</v>
      </c>
      <c r="K124" s="61">
        <f>F124-104128.6</f>
        <v>-16312.600000000006</v>
      </c>
      <c r="L124" s="139">
        <f>F124/104128.6</f>
        <v>0.8433417908240387</v>
      </c>
      <c r="M124" s="62">
        <f>M120+M121+M122+M123+M119</f>
        <v>7615.900000000001</v>
      </c>
      <c r="N124" s="62">
        <f>N120+N121+N122+N123+N119</f>
        <v>280.4799999999988</v>
      </c>
      <c r="O124" s="61">
        <f t="shared" si="43"/>
        <v>-7335.420000000002</v>
      </c>
      <c r="P124" s="61">
        <f t="shared" si="44"/>
        <v>3.682821465617968</v>
      </c>
      <c r="Q124" s="61">
        <f>N124-10082.1</f>
        <v>-9801.62</v>
      </c>
      <c r="R124" s="139">
        <f>N124/1082.1</f>
        <v>0.25919970427871625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35.01</v>
      </c>
      <c r="G125" s="49">
        <f t="shared" si="39"/>
        <v>-8.490000000000002</v>
      </c>
      <c r="H125" s="40">
        <f t="shared" si="41"/>
        <v>80.48275862068965</v>
      </c>
      <c r="I125" s="60">
        <f t="shared" si="40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E125-листопад!E125</f>
        <v>8.340000000000003</v>
      </c>
      <c r="N125" s="40">
        <f>F125-листопад!F125</f>
        <v>0</v>
      </c>
      <c r="O125" s="53">
        <f t="shared" si="43"/>
        <v>-8.340000000000003</v>
      </c>
      <c r="P125" s="60">
        <f t="shared" si="44"/>
        <v>0</v>
      </c>
      <c r="Q125" s="60">
        <f>N125-0</f>
        <v>0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8713.97</v>
      </c>
      <c r="G128" s="49">
        <f aca="true" t="shared" si="45" ref="G128:G135">F128-E128</f>
        <v>13.969999999999345</v>
      </c>
      <c r="H128" s="40">
        <f>F128/E128*100</f>
        <v>100.16057471264368</v>
      </c>
      <c r="I128" s="60">
        <f aca="true" t="shared" si="46" ref="I128:I135">F128-D128</f>
        <v>13.969999999999345</v>
      </c>
      <c r="J128" s="60">
        <f>F128/D128*100</f>
        <v>100.16057471264368</v>
      </c>
      <c r="K128" s="60">
        <f>F128-10836.2</f>
        <v>-2122.2300000000014</v>
      </c>
      <c r="L128" s="138">
        <f>F128/10836.2</f>
        <v>0.8041536701057566</v>
      </c>
      <c r="M128" s="40">
        <f>E128-листопад!E128</f>
        <v>1</v>
      </c>
      <c r="N128" s="40">
        <f>F128-листопад!F128</f>
        <v>355.1999999999989</v>
      </c>
      <c r="O128" s="53">
        <f aca="true" t="shared" si="47" ref="O128:O135">N128-M128</f>
        <v>354.1999999999989</v>
      </c>
      <c r="P128" s="60">
        <f>N128/M128*100</f>
        <v>35519.99999999989</v>
      </c>
      <c r="Q128" s="60">
        <f>N128-9.9</f>
        <v>345.29999999999893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8769.929999999998</v>
      </c>
      <c r="G130" s="62">
        <f t="shared" si="45"/>
        <v>19.229999999997744</v>
      </c>
      <c r="H130" s="72">
        <f>F130/E130*100</f>
        <v>100.21975384826354</v>
      </c>
      <c r="I130" s="61">
        <f t="shared" si="46"/>
        <v>19.229999999997744</v>
      </c>
      <c r="J130" s="61">
        <f>F130/D130*100</f>
        <v>100.21975384826354</v>
      </c>
      <c r="K130" s="61">
        <f>F130-10968.9</f>
        <v>-2198.970000000001</v>
      </c>
      <c r="L130" s="139">
        <f>G130/10968.9</f>
        <v>0.0017531384186197107</v>
      </c>
      <c r="M130" s="62">
        <f>M125+M128+M129+M127</f>
        <v>9.340000000000003</v>
      </c>
      <c r="N130" s="62">
        <f>N125+N128+N129+N127</f>
        <v>355.1999999999989</v>
      </c>
      <c r="O130" s="61">
        <f t="shared" si="47"/>
        <v>345.8599999999989</v>
      </c>
      <c r="P130" s="61">
        <f>N130/M130*100</f>
        <v>3802.9978586723637</v>
      </c>
      <c r="Q130" s="61">
        <f>N130-9.7</f>
        <v>345.4999999999989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34.05</v>
      </c>
      <c r="G131" s="49">
        <f>F131-E131</f>
        <v>4.049999999999997</v>
      </c>
      <c r="H131" s="40">
        <f>F131/E131*100</f>
        <v>113.5</v>
      </c>
      <c r="I131" s="60">
        <f>F131-D131</f>
        <v>4.049999999999997</v>
      </c>
      <c r="J131" s="60">
        <f>F131/D131*100</f>
        <v>113.5</v>
      </c>
      <c r="K131" s="60">
        <f>F131-38.4</f>
        <v>-4.350000000000001</v>
      </c>
      <c r="L131" s="138">
        <f>F131/38.4</f>
        <v>0.88671875</v>
      </c>
      <c r="M131" s="40">
        <f>E131-листопад!E131</f>
        <v>5.75</v>
      </c>
      <c r="N131" s="40">
        <f>F131-листопад!F131</f>
        <v>0</v>
      </c>
      <c r="O131" s="53">
        <f>N131-M131</f>
        <v>-5.75</v>
      </c>
      <c r="P131" s="60">
        <f>N131/M131*100</f>
        <v>0</v>
      </c>
      <c r="Q131" s="60">
        <f>N131-10.2</f>
        <v>-10.2</v>
      </c>
      <c r="R131" s="138">
        <f>N131/10.2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114790.62000000001</v>
      </c>
      <c r="F134" s="31">
        <f>F117+F131+F124+F130+F133+F132</f>
        <v>98406.43999999999</v>
      </c>
      <c r="G134" s="50">
        <f t="shared" si="45"/>
        <v>-16384.180000000022</v>
      </c>
      <c r="H134" s="51">
        <f>F134/E134*100</f>
        <v>85.72689998538206</v>
      </c>
      <c r="I134" s="36">
        <f t="shared" si="46"/>
        <v>-16384.180000000022</v>
      </c>
      <c r="J134" s="36">
        <f>F134/D134*100</f>
        <v>85.72689998538206</v>
      </c>
      <c r="K134" s="36">
        <f>F134-118735.2</f>
        <v>-20328.76000000001</v>
      </c>
      <c r="L134" s="136">
        <f>F134/118735.2</f>
        <v>0.8287891038209393</v>
      </c>
      <c r="M134" s="31">
        <f>M117+M131+M124+M130+M133+M132</f>
        <v>7991.6900000000005</v>
      </c>
      <c r="N134" s="31">
        <f>N117+N131+N124+N130+N133+N132</f>
        <v>651.9699999999978</v>
      </c>
      <c r="O134" s="36">
        <f t="shared" si="47"/>
        <v>-7339.720000000003</v>
      </c>
      <c r="P134" s="36">
        <f>N134/M134*100</f>
        <v>8.158099225570533</v>
      </c>
      <c r="Q134" s="36">
        <f>N134-10223.7</f>
        <v>-9571.730000000003</v>
      </c>
      <c r="R134" s="136">
        <f>N134/10223.7</f>
        <v>0.06377045492336411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621670.22</v>
      </c>
      <c r="F135" s="31">
        <f>F107+F134</f>
        <v>539942.0399999999</v>
      </c>
      <c r="G135" s="50">
        <f t="shared" si="45"/>
        <v>-81728.18000000005</v>
      </c>
      <c r="H135" s="51">
        <f>F135/E135*100</f>
        <v>86.85345101459097</v>
      </c>
      <c r="I135" s="36">
        <f t="shared" si="46"/>
        <v>-81728.18000000005</v>
      </c>
      <c r="J135" s="36">
        <f>F135/D135*100</f>
        <v>86.85345101459097</v>
      </c>
      <c r="K135" s="36">
        <f>F135-605115.5</f>
        <v>-65173.46000000008</v>
      </c>
      <c r="L135" s="136">
        <f>F135/605115.5</f>
        <v>0.8922958344316084</v>
      </c>
      <c r="M135" s="22">
        <f>M107+M134</f>
        <v>68306.06000000003</v>
      </c>
      <c r="N135" s="22">
        <f>N107+N134</f>
        <v>1543.89</v>
      </c>
      <c r="O135" s="36">
        <f t="shared" si="47"/>
        <v>-66762.17000000003</v>
      </c>
      <c r="P135" s="36">
        <f>N135/M135*100</f>
        <v>2.2602533362340025</v>
      </c>
      <c r="Q135" s="36">
        <f>N135-57653.9</f>
        <v>-56110.01</v>
      </c>
      <c r="R135" s="136">
        <f>N135/57653.9</f>
        <v>0.026778587398250595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21</v>
      </c>
      <c r="D137" s="4" t="s">
        <v>118</v>
      </c>
    </row>
    <row r="138" spans="2:17" ht="31.5">
      <c r="B138" s="78" t="s">
        <v>154</v>
      </c>
      <c r="C138" s="39">
        <f>IF(O107&lt;0,ABS(O107/C137),0)</f>
        <v>2829.640476190477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41975</v>
      </c>
      <c r="D139" s="39">
        <v>480.2</v>
      </c>
      <c r="N139" s="194"/>
      <c r="O139" s="194"/>
    </row>
    <row r="140" spans="3:15" ht="15.75">
      <c r="C140" s="120">
        <v>41974</v>
      </c>
      <c r="D140" s="39">
        <v>411.7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41971</v>
      </c>
      <c r="D141" s="39">
        <v>5899.1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120188.84745</v>
      </c>
      <c r="E143" s="80"/>
      <c r="F143" s="100" t="s">
        <v>147</v>
      </c>
      <c r="G143" s="190" t="s">
        <v>149</v>
      </c>
      <c r="H143" s="190"/>
      <c r="I143" s="116">
        <v>111279.11524000001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308</v>
      </c>
      <c r="C145" s="186"/>
      <c r="D145" s="119">
        <v>10356.635339999997</v>
      </c>
      <c r="E145" s="77"/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9" sqref="I1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301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4"/>
      <c r="O139" s="194"/>
    </row>
    <row r="140" spans="3:15" ht="15.75">
      <c r="C140" s="120">
        <v>41970</v>
      </c>
      <c r="D140" s="39">
        <v>3541.6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41969</v>
      </c>
      <c r="D141" s="39">
        <v>1246.3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120388.97812999999</v>
      </c>
      <c r="E143" s="80"/>
      <c r="F143" s="100" t="s">
        <v>147</v>
      </c>
      <c r="G143" s="190" t="s">
        <v>149</v>
      </c>
      <c r="H143" s="190"/>
      <c r="I143" s="116">
        <v>111479.24591999999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11457.696189999997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10356.635339999997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2014-12-03T14:11:09Z</cp:lastPrinted>
  <dcterms:created xsi:type="dcterms:W3CDTF">2003-07-28T11:27:56Z</dcterms:created>
  <dcterms:modified xsi:type="dcterms:W3CDTF">2014-12-03T14:13:29Z</dcterms:modified>
  <cp:category/>
  <cp:version/>
  <cp:contentType/>
  <cp:contentStatus/>
</cp:coreProperties>
</file>